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3129C3B4-D976-4646-A799-8E94EAE3C835}" xr6:coauthVersionLast="47" xr6:coauthVersionMax="47" xr10:uidLastSave="{00000000-0000-0000-0000-000000000000}"/>
  <workbookProtection workbookAlgorithmName="SHA-512" workbookHashValue="/kCYKmm0Lk0tJACZJaMY9dpaFkaZmvcJl+onpWL6URfjN7TwcixgQ/QgNgpBCPCJdl7NMACDogqinVYU+nml8A==" workbookSaltValue="z9jRDFkQapjN1BDPmxPV2Q==" workbookSpinCount="100000" lockStructure="1"/>
  <bookViews>
    <workbookView xWindow="-120" yWindow="-120" windowWidth="29040" windowHeight="15990" tabRatio="863" xr2:uid="{00000000-000D-0000-FFFF-FFFF00000000}"/>
  </bookViews>
  <sheets>
    <sheet name="I-Shop_AppleRoom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'I-Shop_AppleRoom'!$A$1:$I$103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E2" i="164" l="1"/>
  <c r="G39" i="164" l="1"/>
  <c r="L9" i="164" l="1"/>
  <c r="L10" i="164"/>
  <c r="G4" i="165" l="1"/>
  <c r="L17" i="164" l="1"/>
  <c r="L12" i="164" l="1"/>
  <c r="L13" i="164"/>
  <c r="L14" i="164"/>
  <c r="L15" i="164"/>
  <c r="L16" i="164"/>
  <c r="G2" i="164" l="1"/>
  <c r="B28" i="164"/>
  <c r="B26" i="164"/>
  <c r="B24" i="164"/>
  <c r="B11" i="164"/>
  <c r="F17" i="164" l="1"/>
  <c r="L8" i="164"/>
  <c r="L11" i="164"/>
  <c r="M4" i="165"/>
  <c r="H4" i="165"/>
  <c r="L7" i="164"/>
  <c r="H3" i="164" l="1"/>
  <c r="F2" i="164"/>
  <c r="F21" i="164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64" i="164" l="1"/>
  <c r="F68" i="164"/>
  <c r="F72" i="164"/>
  <c r="F76" i="164"/>
  <c r="F80" i="164"/>
  <c r="F84" i="164"/>
  <c r="F88" i="164"/>
  <c r="F92" i="164"/>
  <c r="F96" i="164"/>
  <c r="F70" i="164"/>
  <c r="F78" i="164"/>
  <c r="F86" i="164"/>
  <c r="F94" i="164"/>
  <c r="F67" i="164"/>
  <c r="F75" i="164"/>
  <c r="F83" i="164"/>
  <c r="F91" i="164"/>
  <c r="F99" i="164"/>
  <c r="F65" i="164"/>
  <c r="F69" i="164"/>
  <c r="F73" i="164"/>
  <c r="F77" i="164"/>
  <c r="F81" i="164"/>
  <c r="F85" i="164"/>
  <c r="F89" i="164"/>
  <c r="F93" i="164"/>
  <c r="F97" i="164"/>
  <c r="F66" i="164"/>
  <c r="F74" i="164"/>
  <c r="F82" i="164"/>
  <c r="F90" i="164"/>
  <c r="F98" i="164"/>
  <c r="F71" i="164"/>
  <c r="F79" i="164"/>
  <c r="F87" i="164"/>
  <c r="F95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75" i="164"/>
  <c r="E89" i="164"/>
  <c r="E92" i="164"/>
  <c r="E84" i="164"/>
  <c r="E64" i="164"/>
  <c r="D59" i="164" l="1"/>
  <c r="F44" i="164"/>
  <c r="F48" i="164"/>
  <c r="F52" i="164"/>
  <c r="F56" i="164"/>
  <c r="F60" i="164"/>
  <c r="F40" i="164"/>
  <c r="F41" i="164"/>
  <c r="F45" i="164"/>
  <c r="F49" i="164"/>
  <c r="F53" i="164"/>
  <c r="F57" i="164"/>
  <c r="F61" i="164"/>
  <c r="F47" i="164"/>
  <c r="F63" i="164"/>
  <c r="F42" i="164"/>
  <c r="F46" i="164"/>
  <c r="F50" i="164"/>
  <c r="F54" i="164"/>
  <c r="F58" i="164"/>
  <c r="F62" i="164"/>
  <c r="F51" i="164"/>
  <c r="F55" i="164"/>
  <c r="F59" i="164"/>
  <c r="F43" i="164"/>
  <c r="E71" i="164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E3" i="164"/>
  <c r="F3" i="164" s="1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 l="1"/>
  <c r="G59" i="164"/>
  <c r="G71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<sst xmlns="http://schemas.openxmlformats.org/spreadsheetml/2006/main" count="169" uniqueCount="161">
  <si>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</si>
  <si>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</si>
  <si>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</si>
  <si>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</si>
  <si>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</si>
  <si>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</si>
  <si>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</si>
  <si>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</si>
  <si>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</si>
  <si>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</si>
  <si>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</si>
  <si>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</si>
  <si>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</si>
  <si>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</si>
  <si>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</si>
  <si>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</si>
  <si>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</si>
  <si>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</si>
  <si>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</si>
  <si>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</si>
  <si>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</si>
  <si>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</si>
  <si>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</si>
  <si>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</si>
  <si>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</si>
  <si>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</si>
  <si>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</si>
  <si>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</si>
  <si>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</si>
  <si>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</si>
  <si>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</si>
  <si>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</si>
  <si>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</si>
  <si>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</si>
  <si>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</si>
  <si>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</si>
  <si>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</si>
  <si>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</si>
  <si>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</si>
  <si>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</si>
  <si>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</si>
  <si>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</si>
  <si>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</si>
  <si>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</si>
  <si>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</si>
  <si>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</si>
  <si>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</si>
  <si>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</si>
  <si>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</si>
  <si>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</si>
  <si>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</si>
  <si>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</si>
  <si>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</si>
  <si>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</si>
  <si>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</si>
  <si>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</si>
  <si>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</si>
  <si>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</si>
  <si>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</si>
  <si>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</si>
  <si>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</si>
  <si>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</si>
  <si>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</si>
  <si>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</si>
  <si>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</si>
  <si>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</si>
  <si>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</si>
  <si>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</si>
  <si>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</si>
  <si>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</si>
  <si>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</si>
  <si>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</si>
  <si>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</si>
  <si>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</si>
  <si>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</si>
  <si>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</si>
  <si>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</si>
  <si>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</si>
  <si>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</si>
  <si>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</si>
  <si>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</si>
  <si>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</si>
  <si>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</si>
  <si>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</si>
  <si>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</si>
  <si>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</si>
  <si>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</si>
  <si>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</si>
  <si>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</si>
  <si>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</si>
  <si>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</si>
  <si>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</si>
  <si>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</si>
  <si>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</si>
  <si>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</si>
  <si>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</si>
  <si>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</si>
  <si>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</si>
  <si>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</si>
  <si>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</si>
  <si>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</si>
  <si>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</si>
  <si>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</si>
  <si>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</si>
  <si>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</si>
  <si>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</si>
  <si>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</si>
  <si>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</si>
  <si>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</si>
  <si>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</si>
  <si>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</si>
  <si>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</si>
  <si>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</si>
  <si>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</si>
  <si>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</si>
  <si>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</si>
  <si>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</si>
  <si>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</si>
  <si>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</si>
  <si>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</si>
  <si>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</si>
  <si>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</si>
  <si>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</si>
  <si>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</si>
  <si>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</si>
  <si>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</si>
  <si>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</si>
  <si>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</si>
  <si>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</si>
  <si>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</si>
  <si>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</si>
  <si>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</si>
  <si>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</si>
  <si>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</si>
  <si>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</si>
  <si>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</si>
  <si>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</si>
  <si>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</si>
  <si>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</si>
  <si>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</si>
  <si>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</si>
  <si>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</si>
  <si>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</si>
  <si>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</si>
  <si>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</si>
  <si>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</si>
  <si>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</si>
  <si>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</si>
  <si>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</si>
  <si>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</si>
  <si>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</si>
  <si>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</si>
  <si>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</si>
  <si>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</si>
  <si>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</si>
  <si>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</si>
  <si>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</si>
  <si>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</si>
  <si>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</si>
  <si>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</si>
  <si>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Osnova_I-Shop_AppleRoom, 18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</si>
</sst>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20.2851562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">
      <c r="A2" s="2"/>
      <c r="B2" s="88"/>
      <c r="C2" s="88"/>
      <c r="D2" s="88"/>
      <c r="E2" s="109">
        <f>VLOOKUP('I-Shop_AppleRoom'!H2,Лист2!A:P,16,FALSE)</f>
        <v>1000</v>
      </c>
      <c r="F2" s="132">
        <f>VLOOKUP(H$2,Лист2!$A:$H,8,0)</f>
        <v>50000</v>
      </c>
      <c r="G2" s="177">
        <f ca="1">TODAY()</f>
        <v>45217</v>
      </c>
      <c r="H2" s="219" t="s">
        <v>160</v>
      </c>
      <c r="I2" s="220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30600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>
        <f>VLOOKUP(H$2,Лист2!$A:$H,8,0)</f>
        <v>50000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2"/>
      <c r="G4" s="112"/>
      <c r="H4" s="162"/>
      <c r="I4" s="120"/>
      <c r="J4" s="35"/>
      <c r="AA4" s="51"/>
    </row>
    <row r="5" spans="1:45" ht="21" thickBot="1" x14ac:dyDescent="0.25">
      <c r="A5" s="1"/>
      <c r="B5" s="225" t="s">
        <v>42</v>
      </c>
      <c r="C5" s="226"/>
      <c r="D5" s="226"/>
      <c r="E5" s="227"/>
      <c r="F5" s="161">
        <v>30000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3">
        <f>F5+F5*F11+F15+F5*F17</f>
        <v>30600</v>
      </c>
      <c r="G7" s="164"/>
      <c r="H7" s="165"/>
      <c r="I7" s="42"/>
      <c r="J7" s="4"/>
      <c r="K7" s="37"/>
      <c r="L7" s="51" t="str">
        <f>Лист2!A4</f>
        <v>Osnova_I-Shop_AppleRoom, 18 міс.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e">
        <f>Лист2!#REF!</f>
        <v>#REF!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e">
        <f>Лист2!#REF!</f>
        <v>#REF!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40">
        <f>VLOOKUP(H$2,Лист2!$A:$J,9,0)</f>
        <v>6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6" t="s">
        <v>40</v>
      </c>
      <c r="C17" s="186"/>
      <c r="D17" s="186"/>
      <c r="E17" s="186"/>
      <c r="F17" s="134">
        <f>VLOOKUP(H$2,Лист2!$A:$K,11,0)</f>
        <v>0.02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3.5000000000000003E-2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18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30600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G100-F5</f>
        <v>13456.590000000004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F5+F24</f>
        <v>43456.590000000004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 ca="1">XIRR(G39:G87,C39:C87)</f>
        <v>0.56304925084114077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5" hidden="1" thickBot="1" x14ac:dyDescent="0.25">
      <c r="A39" s="1"/>
      <c r="B39" s="90">
        <v>0</v>
      </c>
      <c r="C39" s="159">
        <f ca="1">TODAY()</f>
        <v>45217</v>
      </c>
      <c r="D39" s="91"/>
      <c r="E39" s="92"/>
      <c r="F39" s="91"/>
      <c r="G39" s="158">
        <f>-F5</f>
        <v>-30000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45248</v>
      </c>
      <c r="D40" s="19">
        <f>IF(B40&lt;=$F$21,$F$7/$F$21,0)</f>
        <v>1700</v>
      </c>
      <c r="E40" s="20">
        <f>IF(AND(B40&gt;F$13,B40&lt;=$F$21),F$7*F$19,0)</f>
        <v>0</v>
      </c>
      <c r="F40" s="182">
        <f>IF(B40&lt;=$F$21,F$7*F$9/12,0)</f>
        <v>0.255</v>
      </c>
      <c r="G40" s="198">
        <f t="shared" ref="G40:G71" si="0">IF(B$40&lt;=F$21,D40+E40+F40,0)</f>
        <v>1700.2550000000001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45278</v>
      </c>
      <c r="D41" s="19">
        <f t="shared" ref="D41:D87" si="2">IF(B41&lt;=$F$21,$F$7/$F$21,0)</f>
        <v>1700</v>
      </c>
      <c r="E41" s="20">
        <f t="shared" ref="E41:E99" si="3">IF(AND(B41&gt;F$13,B41&lt;=$F$21),F$7*F$19,0)</f>
        <v>0</v>
      </c>
      <c r="F41" s="182">
        <f t="shared" ref="F41:F99" si="4">IF(B41&lt;=$F$21,F$7*F$9/12,0)</f>
        <v>0.255</v>
      </c>
      <c r="G41" s="198">
        <f t="shared" si="0"/>
        <v>1700.2550000000001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45309</v>
      </c>
      <c r="D42" s="19">
        <f t="shared" si="2"/>
        <v>1700</v>
      </c>
      <c r="E42" s="20">
        <f t="shared" si="3"/>
        <v>0</v>
      </c>
      <c r="F42" s="182">
        <f t="shared" si="4"/>
        <v>0.255</v>
      </c>
      <c r="G42" s="198">
        <f t="shared" si="0"/>
        <v>1700.2550000000001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45340</v>
      </c>
      <c r="D43" s="19">
        <f t="shared" si="2"/>
        <v>1700</v>
      </c>
      <c r="E43" s="20">
        <f t="shared" si="3"/>
        <v>0</v>
      </c>
      <c r="F43" s="182">
        <f t="shared" si="4"/>
        <v>0.255</v>
      </c>
      <c r="G43" s="198">
        <f t="shared" si="0"/>
        <v>1700.2550000000001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45369</v>
      </c>
      <c r="D44" s="19">
        <f t="shared" si="2"/>
        <v>1700</v>
      </c>
      <c r="E44" s="20">
        <f t="shared" si="3"/>
        <v>0</v>
      </c>
      <c r="F44" s="182">
        <f t="shared" si="4"/>
        <v>0.255</v>
      </c>
      <c r="G44" s="198">
        <f t="shared" si="0"/>
        <v>1700.2550000000001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45400</v>
      </c>
      <c r="D45" s="19">
        <f t="shared" si="2"/>
        <v>1700</v>
      </c>
      <c r="E45" s="20">
        <f t="shared" si="3"/>
        <v>0</v>
      </c>
      <c r="F45" s="182">
        <f t="shared" si="4"/>
        <v>0.255</v>
      </c>
      <c r="G45" s="198">
        <f t="shared" si="0"/>
        <v>1700.2550000000001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45430</v>
      </c>
      <c r="D46" s="19">
        <f t="shared" si="2"/>
        <v>1700</v>
      </c>
      <c r="E46" s="20">
        <f t="shared" si="3"/>
        <v>1071</v>
      </c>
      <c r="F46" s="182">
        <f t="shared" si="4"/>
        <v>0.255</v>
      </c>
      <c r="G46" s="198">
        <f t="shared" si="0"/>
        <v>2771.2550000000001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45461</v>
      </c>
      <c r="D47" s="19">
        <f t="shared" si="2"/>
        <v>1700</v>
      </c>
      <c r="E47" s="20">
        <f t="shared" si="3"/>
        <v>1071</v>
      </c>
      <c r="F47" s="182">
        <f t="shared" si="4"/>
        <v>0.255</v>
      </c>
      <c r="G47" s="198">
        <f t="shared" si="0"/>
        <v>2771.2550000000001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45491</v>
      </c>
      <c r="D48" s="19">
        <f t="shared" si="2"/>
        <v>1700</v>
      </c>
      <c r="E48" s="20">
        <f t="shared" si="3"/>
        <v>1071</v>
      </c>
      <c r="F48" s="182">
        <f t="shared" si="4"/>
        <v>0.255</v>
      </c>
      <c r="G48" s="198">
        <f t="shared" si="0"/>
        <v>2771.2550000000001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45522</v>
      </c>
      <c r="D49" s="19">
        <f t="shared" si="2"/>
        <v>1700</v>
      </c>
      <c r="E49" s="20">
        <f t="shared" si="3"/>
        <v>1071</v>
      </c>
      <c r="F49" s="182">
        <f t="shared" si="4"/>
        <v>0.255</v>
      </c>
      <c r="G49" s="198">
        <f t="shared" si="0"/>
        <v>2771.2550000000001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45553</v>
      </c>
      <c r="D50" s="19">
        <f t="shared" si="2"/>
        <v>1700</v>
      </c>
      <c r="E50" s="20">
        <f t="shared" si="3"/>
        <v>1071</v>
      </c>
      <c r="F50" s="182">
        <f t="shared" si="4"/>
        <v>0.255</v>
      </c>
      <c r="G50" s="198">
        <f t="shared" si="0"/>
        <v>2771.2550000000001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45583</v>
      </c>
      <c r="D51" s="19">
        <f t="shared" si="2"/>
        <v>1700</v>
      </c>
      <c r="E51" s="20">
        <f t="shared" si="3"/>
        <v>1071</v>
      </c>
      <c r="F51" s="182">
        <f t="shared" si="4"/>
        <v>0.255</v>
      </c>
      <c r="G51" s="198">
        <f t="shared" si="0"/>
        <v>2771.2550000000001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45614</v>
      </c>
      <c r="D52" s="19">
        <f t="shared" si="2"/>
        <v>1700</v>
      </c>
      <c r="E52" s="20">
        <f t="shared" si="3"/>
        <v>1071</v>
      </c>
      <c r="F52" s="182">
        <f t="shared" si="4"/>
        <v>0.255</v>
      </c>
      <c r="G52" s="198">
        <f t="shared" si="0"/>
        <v>2771.2550000000001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45644</v>
      </c>
      <c r="D53" s="19">
        <f t="shared" si="2"/>
        <v>1700</v>
      </c>
      <c r="E53" s="20">
        <f t="shared" si="3"/>
        <v>1071</v>
      </c>
      <c r="F53" s="182">
        <f t="shared" si="4"/>
        <v>0.255</v>
      </c>
      <c r="G53" s="198">
        <f t="shared" si="0"/>
        <v>2771.2550000000001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45675</v>
      </c>
      <c r="D54" s="19">
        <f t="shared" si="2"/>
        <v>1700</v>
      </c>
      <c r="E54" s="20">
        <f t="shared" si="3"/>
        <v>1071</v>
      </c>
      <c r="F54" s="182">
        <f t="shared" si="4"/>
        <v>0.255</v>
      </c>
      <c r="G54" s="198">
        <f t="shared" si="0"/>
        <v>2771.2550000000001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45706</v>
      </c>
      <c r="D55" s="19">
        <f t="shared" si="2"/>
        <v>1700</v>
      </c>
      <c r="E55" s="20">
        <f t="shared" si="3"/>
        <v>1071</v>
      </c>
      <c r="F55" s="182">
        <f t="shared" si="4"/>
        <v>0.255</v>
      </c>
      <c r="G55" s="198">
        <f t="shared" si="0"/>
        <v>2771.2550000000001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45734</v>
      </c>
      <c r="D56" s="19">
        <f t="shared" si="2"/>
        <v>1700</v>
      </c>
      <c r="E56" s="20">
        <f t="shared" si="3"/>
        <v>1071</v>
      </c>
      <c r="F56" s="182">
        <f t="shared" si="4"/>
        <v>0.255</v>
      </c>
      <c r="G56" s="198">
        <f t="shared" si="0"/>
        <v>2771.2550000000001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45765</v>
      </c>
      <c r="D57" s="19">
        <f t="shared" si="2"/>
        <v>1700</v>
      </c>
      <c r="E57" s="20">
        <f t="shared" si="3"/>
        <v>1071</v>
      </c>
      <c r="F57" s="182">
        <f t="shared" si="4"/>
        <v>0.255</v>
      </c>
      <c r="G57" s="198">
        <f t="shared" si="0"/>
        <v>2771.2550000000001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45795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198">
        <f t="shared" si="0"/>
        <v>0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45826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198">
        <f t="shared" si="0"/>
        <v>0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45856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198">
        <f t="shared" si="0"/>
        <v>0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45887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198">
        <f t="shared" si="0"/>
        <v>0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45918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198">
        <f t="shared" si="0"/>
        <v>0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45948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198">
        <f t="shared" si="0"/>
        <v>0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45979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198">
        <f t="shared" si="0"/>
        <v>0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46009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198">
        <f t="shared" si="0"/>
        <v>0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46040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198">
        <f t="shared" si="0"/>
        <v>0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46071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198">
        <f t="shared" si="0"/>
        <v>0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46099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198">
        <f t="shared" si="0"/>
        <v>0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46130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198">
        <f t="shared" si="0"/>
        <v>0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46160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198">
        <f t="shared" si="0"/>
        <v>0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46191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198">
        <f t="shared" si="0"/>
        <v>0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46221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198">
        <f t="shared" ref="G72:G99" si="5">IF(B$40&lt;=F$21,D72+E72+F72,0)</f>
        <v>0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46252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198">
        <f t="shared" si="5"/>
        <v>0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46283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198">
        <f t="shared" si="5"/>
        <v>0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46313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198">
        <f t="shared" si="5"/>
        <v>0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46344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46374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46405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46436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46464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46495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46525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46556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46586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46617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46648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46678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46709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46739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46770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46801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46830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46861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46891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46922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46952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46983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47014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47044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5" thickBot="1" x14ac:dyDescent="0.25">
      <c r="A100" s="43"/>
      <c r="B100" s="204" t="s">
        <v>1</v>
      </c>
      <c r="C100" s="205"/>
      <c r="D100" s="93">
        <f>SUM(D40:D99)</f>
        <v>30600</v>
      </c>
      <c r="E100" s="93">
        <f>SUM(E40:E99)</f>
        <v>12852</v>
      </c>
      <c r="F100" s="99">
        <f>SUM(F40:F99)</f>
        <v>4.589999999999999</v>
      </c>
      <c r="G100" s="211">
        <f>SUM(G40:H99)</f>
        <v>43456.590000000004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UfXFm/cbe567IXpzIJcfQk4/dQtIg+PNHtWG15+kDRc2VMVr5st6w0KdysKsjRAj/FCTNaPOslSgfmVKoxJ/5g==" saltValue="CUnIGTSTLOvY4wZMxqoCzA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L7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1" t="s">
        <v>158</v>
      </c>
      <c r="B9" s="242"/>
      <c r="C9" s="242"/>
      <c r="D9" s="24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1"/>
      <c r="E29" s="251"/>
      <c r="F29" s="251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"/>
  <sheetViews>
    <sheetView zoomScale="85" zoomScaleNormal="85" workbookViewId="0">
      <selection activeCell="C13" sqref="C13"/>
    </sheetView>
  </sheetViews>
  <sheetFormatPr defaultColWidth="9.140625" defaultRowHeight="12.75" x14ac:dyDescent="0.2"/>
  <cols>
    <col min="1" max="1" width="35.140625" style="116" bestFit="1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50000</v>
      </c>
      <c r="C4" s="151">
        <v>18</v>
      </c>
      <c r="D4" s="152">
        <v>1E-4</v>
      </c>
      <c r="E4" s="152">
        <v>0</v>
      </c>
      <c r="F4" s="152">
        <v>3.5000000000000003E-2</v>
      </c>
      <c r="G4" s="151" t="str">
        <f>I$2&amp;" "&amp;B4&amp;" "&amp;H$2</f>
        <v>max. 50000 грн.</v>
      </c>
      <c r="H4" s="185">
        <f t="shared" ref="H4" si="0">B4+B4*E4</f>
        <v>50000</v>
      </c>
      <c r="I4" s="151">
        <v>6</v>
      </c>
      <c r="K4" s="184">
        <v>0.02</v>
      </c>
      <c r="L4" s="153">
        <f t="shared" ref="L4" si="1">D4/12/(1-1/POWER(1+D4/12,C4))*H4+H4*F4</f>
        <v>4527.997690363004</v>
      </c>
      <c r="M4" s="154">
        <f>F4</f>
        <v>3.5000000000000003E-2</v>
      </c>
      <c r="N4" s="154"/>
      <c r="O4" s="155">
        <v>0</v>
      </c>
      <c r="P4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I-Shop_AppleRoom</vt:lpstr>
      <vt:lpstr>Перелік партнерів</vt:lpstr>
      <vt:lpstr>Назви</vt:lpstr>
      <vt:lpstr>Лист2</vt:lpstr>
      <vt:lpstr>'I-Shop_AppleRoom'!Область_друку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2023-10-18T13:22:00Z</dcterms:modified>
</cp:coreProperties>
</file>